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" sheetId="1" state="visible" r:id="rId3"/>
    <sheet name="Injection Log" sheetId="2" state="visible" r:id="rId4"/>
    <sheet name="Daily Check-in" sheetId="3" state="visible" r:id="rId5"/>
    <sheet name="Not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<sst xmlns="http://schemas.openxmlformats.org/spreadsheetml/2006/main" count="89" uniqueCount="85">
  <si>
    <t xml:space="preserve">28-Day GLP-1 Injection Tracker</t>
  </si>
  <si>
    <t xml:space="preserve">FormBlends · formblends.com/tools/peptide-calculator · Fill the yellow cells. Everything else calculates.</t>
  </si>
  <si>
    <t xml:space="preserve">Field</t>
  </si>
  <si>
    <t xml:space="preserve">Value</t>
  </si>
  <si>
    <t xml:space="preserve">Notes</t>
  </si>
  <si>
    <t xml:space="preserve">Medication</t>
  </si>
  <si>
    <t xml:space="preserve">Tirzepatide</t>
  </si>
  <si>
    <t xml:space="preserve">Text. Used only for labels.</t>
  </si>
  <si>
    <t xml:space="preserve">Vial concentration (mg per mL)</t>
  </si>
  <si>
    <t xml:space="preserve">From your pharmacy label. If the label says mg per 0.5 mL, double it.</t>
  </si>
  <si>
    <t xml:space="preserve">Vial volume (mL)</t>
  </si>
  <si>
    <t xml:space="preserve">Total liquid in the vial after mixing, or as dispensed.</t>
  </si>
  <si>
    <t xml:space="preserve">Total mg in vial</t>
  </si>
  <si>
    <t xml:space="preserve">Calculated: concentration times volume.</t>
  </si>
  <si>
    <t xml:space="preserve">Weekly dose (mg)</t>
  </si>
  <si>
    <t xml:space="preserve">The dose on your prescription.</t>
  </si>
  <si>
    <t xml:space="preserve">Units to draw per dose</t>
  </si>
  <si>
    <t xml:space="preserve">Calculated: dose divided by concentration, times 100. One unit is 0.01 mL on a U-100 syringe.</t>
  </si>
  <si>
    <t xml:space="preserve">mL per dose</t>
  </si>
  <si>
    <t xml:space="preserve">Calculated. Compare with any mL figure on the label: 1.1 mL means 110 units.</t>
  </si>
  <si>
    <t xml:space="preserve">Doses in this vial</t>
  </si>
  <si>
    <t xml:space="preserve">Calculated: whole doses the vial holds.</t>
  </si>
  <si>
    <t xml:space="preserve">First puncture date</t>
  </si>
  <si>
    <t xml:space="preserve">2026-09-04</t>
  </si>
  <si>
    <t xml:space="preserve">Enter as YYYY-MM-DD. The 28-day USP &lt;797&gt; ceiling starts here.</t>
  </si>
  <si>
    <t xml:space="preserve">Discard by (28 days after first puncture)</t>
  </si>
  <si>
    <t xml:space="preserve">Calculated. FDA: discard a multi-dose vial 28 days after first use even if medication remains (page current 09/01/2026).</t>
  </si>
  <si>
    <t xml:space="preserve">Weeks of supply in this vial</t>
  </si>
  <si>
    <t xml:space="preserve">Calculated: one dose per week.</t>
  </si>
  <si>
    <t xml:space="preserve">Vial outlasts the 28-day ceiling?</t>
  </si>
  <si>
    <t xml:space="preserve">Calculated. More than four weekly doses in one vial means some will pass the ceiling.</t>
  </si>
  <si>
    <t xml:space="preserve">Starting weight (lb or kg, your choice)</t>
  </si>
  <si>
    <t xml:space="preserve">Number. Use one unit consistently.</t>
  </si>
  <si>
    <t xml:space="preserve">Next refill due</t>
  </si>
  <si>
    <t xml:space="preserve">2026-09-25</t>
  </si>
  <si>
    <t xml:space="preserve">Text date YYYY-MM-DD.</t>
  </si>
  <si>
    <t xml:space="preserve">Label beyond-use date (optional)</t>
  </si>
  <si>
    <t xml:space="preserve">2026-11-30</t>
  </si>
  <si>
    <t xml:space="preserve">From the pharmacy label, YYYY-MM-DD. Leave blank if none.</t>
  </si>
  <si>
    <t xml:space="preserve">Discard by: the earlier of the two dates</t>
  </si>
  <si>
    <t xml:space="preserve">Calculated. Whichever comes first: 28 days after first puncture, or the label beyond-use date.</t>
  </si>
  <si>
    <t xml:space="preserve">Legend</t>
  </si>
  <si>
    <t xml:space="preserve">Yellow cells with blue text are yours to fill. Black text is calculated. Do not type over a formula.</t>
  </si>
  <si>
    <t xml:space="preserve">Sources: USP General Chapter &lt;797&gt; (28-day multiple-dose container ceiling); FDA piston-syringe guidance (U-100 = 100 units per mL).</t>
  </si>
  <si>
    <t xml:space="preserve">This workbook does arithmetic on numbers you enter. It does not recommend a dose. Follow your prescription and pharmacy label.</t>
  </si>
  <si>
    <t xml:space="preserve">Week</t>
  </si>
  <si>
    <t xml:space="preserve">Date</t>
  </si>
  <si>
    <t xml:space="preserve">Dose (mg)</t>
  </si>
  <si>
    <t xml:space="preserve">Units drawn</t>
  </si>
  <si>
    <t xml:space="preserve">mL drawn</t>
  </si>
  <si>
    <t xml:space="preserve">Site</t>
  </si>
  <si>
    <t xml:space="preserve">Weight</t>
  </si>
  <si>
    <t xml:space="preserve">Change from start</t>
  </si>
  <si>
    <t xml:space="preserve">Waist (in/cm)</t>
  </si>
  <si>
    <t xml:space="preserve">Hunger 0-10</t>
  </si>
  <si>
    <t xml:space="preserve">Side effects</t>
  </si>
  <si>
    <t xml:space="preserve">mg used to date</t>
  </si>
  <si>
    <t xml:space="preserve">mg left in vial</t>
  </si>
  <si>
    <t xml:space="preserve">Taken / Skipped / Missed</t>
  </si>
  <si>
    <t xml:space="preserve">Days since first puncture</t>
  </si>
  <si>
    <t xml:space="preserve">Left abdomen</t>
  </si>
  <si>
    <t xml:space="preserve">Mild nausea day 1 to 2</t>
  </si>
  <si>
    <t xml:space="preserve">Taken</t>
  </si>
  <si>
    <t xml:space="preserve">Example row. Overwrite with your own.</t>
  </si>
  <si>
    <t xml:space="preserve">Totals</t>
  </si>
  <si>
    <t xml:space="preserve">Yellow cells are yours. Units and mL are calculated from the Setup sheet. Rotate sites and stay an inch from the last spot. Side-effect shorthand: N nausea, C constipation, D diarrhoea, R reflux, F fatigue, H headache, I injection-site reaction. Skipped means you chose not to inject; missed means you forgot.</t>
  </si>
  <si>
    <t xml:space="preserve">Day</t>
  </si>
  <si>
    <t xml:space="preserve">Protein target met (1/0)</t>
  </si>
  <si>
    <t xml:space="preserve">Water target met (1/0)</t>
  </si>
  <si>
    <t xml:space="preserve">Nausea 0-3</t>
  </si>
  <si>
    <t xml:space="preserve">Bowel movement (1/0)</t>
  </si>
  <si>
    <t xml:space="preserve">Slept 7h+ (1/0)</t>
  </si>
  <si>
    <t xml:space="preserve">Example day. Overwrite with your own.</t>
  </si>
  <si>
    <t xml:space="preserve">Days logged</t>
  </si>
  <si>
    <t xml:space="preserve">Protein target hit rate</t>
  </si>
  <si>
    <t xml:space="preserve">Water target hit rate</t>
  </si>
  <si>
    <t xml:space="preserve">Average nausea (0-3)</t>
  </si>
  <si>
    <t xml:space="preserve">Days without a bowel movement</t>
  </si>
  <si>
    <t xml:space="preserve">Bring this sheet to your check-in. Call your prescriber about severe or persistent nausea, vomiting, or more than three days without a bowel movement.</t>
  </si>
  <si>
    <t xml:space="preserve">How this workbook does its math</t>
  </si>
  <si>
    <t xml:space="preserve">Units to draw = dose (mg) divided by concentration (mg per mL), times 100. One unit on a U-100 insulin syringe is 0.01 mL. Source: FDA piston-syringe guidance; ISMP guidance on expressing doses in both units and volume.</t>
  </si>
  <si>
    <t xml:space="preserve">Discard by = first puncture date plus 28 days. USP General Chapter &lt;797&gt; treats a punctured multiple-dose container as usable for 28 days. It is a sterility limit, not a potency guarantee. A pharmacy beyond-use date on your label takes precedence.</t>
  </si>
  <si>
    <t xml:space="preserve">mg left in vial = total mg in vial minus the running total of doses logged.</t>
  </si>
  <si>
    <t xml:space="preserve">Nothing in this workbook is a dose recommendation. Enter the dose from your prescription. FormBlends connects patients with licensed providers and pharmacies; it does not prescribe or dispense.</t>
  </si>
  <si>
    <t xml:space="preserve">Companion tools: formblends.com/tools/peptide-calculator (units, water volumes, mixing mistakes) and formblends.com/free/glp1-28-day-tracker (printable version of this log).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</si>
</sst>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.000"/>
    <numFmt numFmtId="167" formatCode="yyyy\-mm\-dd"/>
    <numFmt numFmtId="168" formatCode="\+0.0;\-0.0;0"/>
    <numFmt numFmtId="169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3352A"/>
      <name val="Arial"/>
      <family val="0"/>
      <charset val="1"/>
    </font>
    <font>
      <sz val="9"/>
      <color rgb="FF6E7F8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52329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43555B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152329"/>
      <name val="Arial"/>
      <family val="0"/>
      <charset val="1"/>
    </font>
    <font>
      <i val="true"/>
      <sz val="9"/>
      <color rgb="FF43555B"/>
      <name val="Arial"/>
      <family val="0"/>
      <charset val="1"/>
    </font>
    <font>
      <sz val="10"/>
      <color rgb="FF152329"/>
      <name val="Arial"/>
      <family val="0"/>
      <charset val="1"/>
    </font>
    <font>
      <b val="true"/>
      <sz val="9"/>
      <color rgb="FFA83A2E"/>
      <name val="Arial"/>
      <family val="0"/>
      <charset val="1"/>
    </font>
    <font>
      <b val="true"/>
      <sz val="12"/>
      <color rgb="FF15232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352A"/>
        <bgColor rgb="FF152329"/>
      </patternFill>
    </fill>
    <fill>
      <patternFill patternType="solid">
        <fgColor rgb="FFFFF7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E1DC"/>
      </left>
      <right style="thin">
        <color rgb="FFD5E1DC"/>
      </right>
      <top style="thin">
        <color rgb="FFD5E1DC"/>
      </top>
      <bottom style="thin">
        <color rgb="FFD5E1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E7F84"/>
      <rgbColor rgb="FF9999FF"/>
      <rgbColor rgb="FF993366"/>
      <rgbColor rgb="FFFFF7D6"/>
      <rgbColor rgb="FFCCFFFF"/>
      <rgbColor rgb="FF660066"/>
      <rgbColor rgb="FFFF8080"/>
      <rgbColor rgb="FF0066CC"/>
      <rgbColor rgb="FFD5E1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3555B"/>
      <rgbColor rgb="FF969696"/>
      <rgbColor rgb="FF003366"/>
      <rgbColor rgb="FF339966"/>
      <rgbColor rgb="FF13352A"/>
      <rgbColor rgb="FF333300"/>
      <rgbColor rgb="FFA83A2E"/>
      <rgbColor rgb="FF993366"/>
      <rgbColor rgb="FF333399"/>
      <rgbColor rgb="FF1523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6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</row>
    <row r="5" customFormat="false" ht="15" hidden="false" customHeight="false" outlineLevel="0" collapsed="false">
      <c r="A5" s="4" t="s">
        <v>5</v>
      </c>
      <c r="B5" s="5" t="s">
        <v>6</v>
      </c>
      <c r="C5" s="6" t="s">
        <v>7</v>
      </c>
    </row>
    <row r="6" customFormat="false" ht="15" hidden="false" customHeight="false" outlineLevel="0" collapsed="false">
      <c r="A6" s="4" t="s">
        <v>8</v>
      </c>
      <c r="B6" s="5" t="n">
        <v>10</v>
      </c>
      <c r="C6" s="6" t="s">
        <v>9</v>
      </c>
    </row>
    <row r="7" customFormat="false" ht="15" hidden="false" customHeight="false" outlineLevel="0" collapsed="false">
      <c r="A7" s="4" t="s">
        <v>10</v>
      </c>
      <c r="B7" s="5" t="n">
        <v>2</v>
      </c>
      <c r="C7" s="6" t="s">
        <v>11</v>
      </c>
    </row>
    <row r="8" customFormat="false" ht="15" hidden="false" customHeight="false" outlineLevel="0" collapsed="false">
      <c r="A8" s="4" t="s">
        <v>12</v>
      </c>
      <c r="B8" s="7" t="n">
        <f aca="false">B6*B7</f>
        <v>20</v>
      </c>
      <c r="C8" s="6" t="s">
        <v>13</v>
      </c>
    </row>
    <row r="9" customFormat="false" ht="15" hidden="false" customHeight="false" outlineLevel="0" collapsed="false">
      <c r="A9" s="4" t="s">
        <v>14</v>
      </c>
      <c r="B9" s="5" t="n">
        <v>2.5</v>
      </c>
      <c r="C9" s="6" t="s">
        <v>15</v>
      </c>
    </row>
    <row r="10" customFormat="false" ht="15" hidden="false" customHeight="false" outlineLevel="0" collapsed="false">
      <c r="A10" s="4" t="s">
        <v>16</v>
      </c>
      <c r="B10" s="8" t="n">
        <f aca="false">IF(B6&gt;0,B9/B6*100,"")</f>
        <v>25</v>
      </c>
      <c r="C10" s="6" t="s">
        <v>17</v>
      </c>
    </row>
    <row r="11" customFormat="false" ht="15" hidden="false" customHeight="false" outlineLevel="0" collapsed="false">
      <c r="A11" s="4" t="s">
        <v>18</v>
      </c>
      <c r="B11" s="9" t="n">
        <f aca="false">IF(B6&gt;0,B9/B6,"")</f>
        <v>0.25</v>
      </c>
      <c r="C11" s="6" t="s">
        <v>19</v>
      </c>
    </row>
    <row r="12" customFormat="false" ht="15" hidden="false" customHeight="false" outlineLevel="0" collapsed="false">
      <c r="A12" s="4" t="s">
        <v>20</v>
      </c>
      <c r="B12" s="7" t="n">
        <f aca="false">IF(B9&gt;0,INT(B8/B9),"")</f>
        <v>8</v>
      </c>
      <c r="C12" s="6" t="s">
        <v>21</v>
      </c>
    </row>
    <row r="13" customFormat="false" ht="15" hidden="false" customHeight="false" outlineLevel="0" collapsed="false">
      <c r="A13" s="4" t="s">
        <v>22</v>
      </c>
      <c r="B13" s="5" t="s">
        <v>23</v>
      </c>
      <c r="C13" s="6" t="s">
        <v>24</v>
      </c>
    </row>
    <row r="14" customFormat="false" ht="15" hidden="false" customHeight="false" outlineLevel="0" collapsed="false">
      <c r="A14" s="4" t="s">
        <v>25</v>
      </c>
      <c r="B14" s="10" t="n">
        <f aca="false">IF(B13&lt;&gt;"",DATE(VALUE(LEFT(B13,4)),VALUE(MID(B13,6,2)),VALUE(RIGHT(B13,2)))+28,"")</f>
        <v>46297</v>
      </c>
      <c r="C14" s="6" t="s">
        <v>26</v>
      </c>
    </row>
    <row r="15" customFormat="false" ht="15" hidden="false" customHeight="false" outlineLevel="0" collapsed="false">
      <c r="A15" s="4" t="s">
        <v>27</v>
      </c>
      <c r="B15" s="7" t="n">
        <f aca="false">IF(B12&lt;&gt;"",B12,"")</f>
        <v>8</v>
      </c>
      <c r="C15" s="6" t="s">
        <v>28</v>
      </c>
    </row>
    <row r="16" customFormat="false" ht="15" hidden="false" customHeight="false" outlineLevel="0" collapsed="false">
      <c r="A16" s="4" t="s">
        <v>29</v>
      </c>
      <c r="B16" s="7" t="str">
        <f aca="false">IF(B15&lt;&gt;"",IF(B15&gt;4,"Yes: plan to discard leftover","No"),"")</f>
        <v>Yes: plan to discard leftover</v>
      </c>
      <c r="C16" s="6" t="s">
        <v>30</v>
      </c>
    </row>
    <row r="17" customFormat="false" ht="15" hidden="false" customHeight="false" outlineLevel="0" collapsed="false">
      <c r="A17" s="4" t="s">
        <v>31</v>
      </c>
      <c r="B17" s="5" t="n">
        <v>210</v>
      </c>
      <c r="C17" s="6" t="s">
        <v>32</v>
      </c>
    </row>
    <row r="18" customFormat="false" ht="15" hidden="false" customHeight="false" outlineLevel="0" collapsed="false">
      <c r="A18" s="4" t="s">
        <v>33</v>
      </c>
      <c r="B18" s="5" t="s">
        <v>34</v>
      </c>
      <c r="C18" s="6" t="s">
        <v>35</v>
      </c>
    </row>
    <row r="19" customFormat="false" ht="15" hidden="false" customHeight="false" outlineLevel="0" collapsed="false">
      <c r="A19" s="4" t="s">
        <v>36</v>
      </c>
      <c r="B19" s="5" t="s">
        <v>37</v>
      </c>
      <c r="C19" s="6" t="s">
        <v>38</v>
      </c>
    </row>
    <row r="20" customFormat="false" ht="15" hidden="false" customHeight="false" outlineLevel="0" collapsed="false">
      <c r="A20" s="4" t="s">
        <v>39</v>
      </c>
      <c r="B20" s="10" t="n">
        <f aca="false">IF(B14&lt;&gt;"",IF(B19&lt;&gt;"",MIN(B14,DATE(VALUE(LEFT(B19,4)),VALUE(MID(B19,6,2)),VALUE(RIGHT(B19,2)))),B14),"")</f>
        <v>46297</v>
      </c>
      <c r="C20" s="6" t="s">
        <v>40</v>
      </c>
    </row>
    <row r="23" customFormat="false" ht="15" hidden="false" customHeight="false" outlineLevel="0" collapsed="false">
      <c r="A23" s="11" t="s">
        <v>41</v>
      </c>
    </row>
    <row r="24" customFormat="false" ht="15" hidden="false" customHeight="false" outlineLevel="0" collapsed="false">
      <c r="A24" s="12" t="s">
        <v>42</v>
      </c>
    </row>
    <row r="25" customFormat="false" ht="15" hidden="false" customHeight="false" outlineLevel="0" collapsed="false">
      <c r="A25" s="13" t="s">
        <v>43</v>
      </c>
    </row>
    <row r="26" customFormat="false" ht="15" hidden="false" customHeight="false" outlineLevel="0" collapsed="false">
      <c r="A26" s="14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8"/>
    <col collapsed="false" customWidth="true" hidden="false" outlineLevel="0" max="7" min="7" style="0" width="10"/>
    <col collapsed="false" customWidth="true" hidden="false" outlineLevel="0" max="8" min="8" style="0" width="16"/>
    <col collapsed="false" customWidth="true" hidden="false" outlineLevel="0" max="9" min="9" style="0" width="13"/>
    <col collapsed="false" customWidth="true" hidden="false" outlineLevel="0" max="10" min="10" style="0" width="12"/>
    <col collapsed="false" customWidth="true" hidden="false" outlineLevel="0" max="11" min="11" style="0" width="22"/>
    <col collapsed="false" customWidth="true" hidden="false" outlineLevel="0" max="13" min="12" style="0" width="14"/>
    <col collapsed="false" customWidth="true" hidden="false" outlineLevel="0" max="14" min="14" style="0" width="18"/>
    <col collapsed="false" customWidth="true" hidden="false" outlineLevel="0" max="15" min="15" style="0" width="14"/>
    <col collapsed="false" customWidth="true" hidden="false" outlineLevel="0" max="16" min="16" style="0" width="36"/>
  </cols>
  <sheetData>
    <row r="1" customFormat="false" ht="30" hidden="false" customHeight="true" outlineLevel="0" collapsed="false">
      <c r="A1" s="15" t="s">
        <v>45</v>
      </c>
      <c r="B1" s="15" t="s">
        <v>46</v>
      </c>
      <c r="C1" s="15" t="s">
        <v>47</v>
      </c>
      <c r="D1" s="15" t="s">
        <v>48</v>
      </c>
      <c r="E1" s="15" t="s">
        <v>49</v>
      </c>
      <c r="F1" s="15" t="s">
        <v>50</v>
      </c>
      <c r="G1" s="15" t="s">
        <v>51</v>
      </c>
      <c r="H1" s="15" t="s">
        <v>52</v>
      </c>
      <c r="I1" s="15" t="s">
        <v>53</v>
      </c>
      <c r="J1" s="15" t="s">
        <v>54</v>
      </c>
      <c r="K1" s="15" t="s">
        <v>55</v>
      </c>
      <c r="L1" s="15" t="s">
        <v>56</v>
      </c>
      <c r="M1" s="15" t="s">
        <v>57</v>
      </c>
      <c r="N1" s="15" t="s">
        <v>58</v>
      </c>
      <c r="O1" s="15" t="s">
        <v>59</v>
      </c>
      <c r="P1" s="15" t="s">
        <v>4</v>
      </c>
    </row>
    <row r="2" customFormat="false" ht="15" hidden="false" customHeight="false" outlineLevel="0" collapsed="false">
      <c r="A2" s="16" t="n">
        <v>1</v>
      </c>
      <c r="B2" s="17" t="s">
        <v>23</v>
      </c>
      <c r="C2" s="16" t="n">
        <f aca="false">Setup!$B$9</f>
        <v>2.5</v>
      </c>
      <c r="D2" s="18" t="n">
        <f aca="false">IF(C2&lt;&gt;"",C2/Setup!$B$6*100,"")</f>
        <v>25</v>
      </c>
      <c r="E2" s="19" t="n">
        <f aca="false">IF(C2&lt;&gt;"",C2/Setup!$B$6,"")</f>
        <v>0.25</v>
      </c>
      <c r="F2" s="17" t="s">
        <v>60</v>
      </c>
      <c r="G2" s="17" t="n">
        <v>210</v>
      </c>
      <c r="H2" s="20" t="n">
        <f aca="false">IF(G2&lt;&gt;"",G2-Setup!$B$17,"")</f>
        <v>0</v>
      </c>
      <c r="I2" s="17" t="n">
        <v>38.5</v>
      </c>
      <c r="J2" s="17" t="n">
        <v>6</v>
      </c>
      <c r="K2" s="17" t="s">
        <v>61</v>
      </c>
      <c r="L2" s="16" t="n">
        <f aca="false">IF(B2&lt;&gt;"",SUM($C$2:C2),"")</f>
        <v>2.5</v>
      </c>
      <c r="M2" s="16" t="n">
        <f aca="false">IF(B2&lt;&gt;"",Setup!$B$8-L2,"")</f>
        <v>17.5</v>
      </c>
      <c r="N2" s="17" t="s">
        <v>62</v>
      </c>
      <c r="O2" s="16" t="n">
        <f aca="false">IF(AND(B2&lt;&gt;"",Setup!$B$13&lt;&gt;""),DATE(VALUE(LEFT(B2,4)),VALUE(MID(B2,6,2)),VALUE(RIGHT(B2,2)))-DATE(VALUE(LEFT(Setup!$B$13,4)),VALUE(MID(Setup!$B$13,6,2)),VALUE(RIGHT(Setup!$B$13,2))),"")</f>
        <v>0</v>
      </c>
      <c r="P2" s="17" t="s">
        <v>63</v>
      </c>
    </row>
    <row r="3" customFormat="false" ht="15" hidden="false" customHeight="false" outlineLevel="0" collapsed="false">
      <c r="A3" s="16" t="n">
        <v>2</v>
      </c>
      <c r="B3" s="17"/>
      <c r="C3" s="16" t="n">
        <f aca="false">Setup!$B$9</f>
        <v>2.5</v>
      </c>
      <c r="D3" s="18" t="n">
        <f aca="false">IF(C3&lt;&gt;"",C3/Setup!$B$6*100,"")</f>
        <v>25</v>
      </c>
      <c r="E3" s="19" t="n">
        <f aca="false">IF(C3&lt;&gt;"",C3/Setup!$B$6,"")</f>
        <v>0.25</v>
      </c>
      <c r="F3" s="17"/>
      <c r="G3" s="17"/>
      <c r="H3" s="20" t="str">
        <f aca="false">IF(G3&lt;&gt;"",G3-Setup!$B$17,"")</f>
        <v/>
      </c>
      <c r="I3" s="17"/>
      <c r="J3" s="17"/>
      <c r="K3" s="17"/>
      <c r="L3" s="16" t="str">
        <f aca="false">IF(B3&lt;&gt;"",SUM($C$2:C3),"")</f>
        <v/>
      </c>
      <c r="M3" s="16" t="str">
        <f aca="false">IF(B3&lt;&gt;"",Setup!$B$8-L3,"")</f>
        <v/>
      </c>
      <c r="N3" s="17"/>
      <c r="O3" s="16" t="str">
        <f aca="false">IF(AND(B3&lt;&gt;"",Setup!$B$13&lt;&gt;""),DATE(VALUE(LEFT(B3,4)),VALUE(MID(B3,6,2)),VALUE(RIGHT(B3,2)))-DATE(VALUE(LEFT(Setup!$B$13,4)),VALUE(MID(Setup!$B$13,6,2)),VALUE(RIGHT(Setup!$B$13,2))),"")</f>
        <v/>
      </c>
      <c r="P3" s="17"/>
    </row>
    <row r="4" customFormat="false" ht="15" hidden="false" customHeight="false" outlineLevel="0" collapsed="false">
      <c r="A4" s="16" t="n">
        <v>3</v>
      </c>
      <c r="B4" s="17"/>
      <c r="C4" s="16" t="n">
        <f aca="false">Setup!$B$9</f>
        <v>2.5</v>
      </c>
      <c r="D4" s="18" t="n">
        <f aca="false">IF(C4&lt;&gt;"",C4/Setup!$B$6*100,"")</f>
        <v>25</v>
      </c>
      <c r="E4" s="19" t="n">
        <f aca="false">IF(C4&lt;&gt;"",C4/Setup!$B$6,"")</f>
        <v>0.25</v>
      </c>
      <c r="F4" s="17"/>
      <c r="G4" s="17"/>
      <c r="H4" s="20" t="str">
        <f aca="false">IF(G4&lt;&gt;"",G4-Setup!$B$17,"")</f>
        <v/>
      </c>
      <c r="I4" s="17"/>
      <c r="J4" s="17"/>
      <c r="K4" s="17"/>
      <c r="L4" s="16" t="str">
        <f aca="false">IF(B4&lt;&gt;"",SUM($C$2:C4),"")</f>
        <v/>
      </c>
      <c r="M4" s="16" t="str">
        <f aca="false">IF(B4&lt;&gt;"",Setup!$B$8-L4,"")</f>
        <v/>
      </c>
      <c r="N4" s="17"/>
      <c r="O4" s="16" t="str">
        <f aca="false">IF(AND(B4&lt;&gt;"",Setup!$B$13&lt;&gt;""),DATE(VALUE(LEFT(B4,4)),VALUE(MID(B4,6,2)),VALUE(RIGHT(B4,2)))-DATE(VALUE(LEFT(Setup!$B$13,4)),VALUE(MID(Setup!$B$13,6,2)),VALUE(RIGHT(Setup!$B$13,2))),"")</f>
        <v/>
      </c>
      <c r="P4" s="17"/>
    </row>
    <row r="5" customFormat="false" ht="15" hidden="false" customHeight="false" outlineLevel="0" collapsed="false">
      <c r="A5" s="16" t="n">
        <v>4</v>
      </c>
      <c r="B5" s="17"/>
      <c r="C5" s="16" t="n">
        <f aca="false">Setup!$B$9</f>
        <v>2.5</v>
      </c>
      <c r="D5" s="18" t="n">
        <f aca="false">IF(C5&lt;&gt;"",C5/Setup!$B$6*100,"")</f>
        <v>25</v>
      </c>
      <c r="E5" s="19" t="n">
        <f aca="false">IF(C5&lt;&gt;"",C5/Setup!$B$6,"")</f>
        <v>0.25</v>
      </c>
      <c r="F5" s="17"/>
      <c r="G5" s="17"/>
      <c r="H5" s="20" t="str">
        <f aca="false">IF(G5&lt;&gt;"",G5-Setup!$B$17,"")</f>
        <v/>
      </c>
      <c r="I5" s="17"/>
      <c r="J5" s="17"/>
      <c r="K5" s="17"/>
      <c r="L5" s="16" t="str">
        <f aca="false">IF(B5&lt;&gt;"",SUM($C$2:C5),"")</f>
        <v/>
      </c>
      <c r="M5" s="16" t="str">
        <f aca="false">IF(B5&lt;&gt;"",Setup!$B$8-L5,"")</f>
        <v/>
      </c>
      <c r="N5" s="17"/>
      <c r="O5" s="16" t="str">
        <f aca="false">IF(AND(B5&lt;&gt;"",Setup!$B$13&lt;&gt;""),DATE(VALUE(LEFT(B5,4)),VALUE(MID(B5,6,2)),VALUE(RIGHT(B5,2)))-DATE(VALUE(LEFT(Setup!$B$13,4)),VALUE(MID(Setup!$B$13,6,2)),VALUE(RIGHT(Setup!$B$13,2))),"")</f>
        <v/>
      </c>
      <c r="P5" s="17"/>
    </row>
    <row r="7" customFormat="false" ht="15" hidden="false" customHeight="false" outlineLevel="0" collapsed="false">
      <c r="A7" s="11" t="s">
        <v>64</v>
      </c>
      <c r="C7" s="11" t="n">
        <f aca="false">SUM(C2:C5)</f>
        <v>10</v>
      </c>
      <c r="H7" s="21" t="n">
        <f aca="false">IF(COUNT(G2:G5)&gt;0,INDEX(G2:G5,COUNT(G2:G5))-Setup!$B$17,"")</f>
        <v>0</v>
      </c>
      <c r="L7" s="11" t="n">
        <f aca="false">MAX(L2:L5)</f>
        <v>2.5</v>
      </c>
      <c r="M7" s="11" t="n">
        <f aca="false">Setup!$B$8-L7</f>
        <v>17.5</v>
      </c>
    </row>
    <row r="9" customFormat="false" ht="15" hidden="false" customHeight="false" outlineLevel="0" collapsed="false">
      <c r="A9" s="13" t="s">
        <v>65</v>
      </c>
    </row>
    <row r="10" customFormat="false" ht="15" hidden="false" customHeight="false" outlineLevel="0" collapsed="false">
      <c r="A10" s="22" t="str">
        <f aca="false">IF(M7&lt;0,"The log shows more mg used than the vial holds. Check the concentration or the dose.",IF(MAX(O2:O5)&gt;28,"A logged injection is more than 28 days after first puncture. FDA says to discard the vial at 28 days.",""))</f>
        <v/>
      </c>
    </row>
  </sheetData>
  <dataValidations count="2">
    <dataValidation allowBlank="true" errorStyle="stop" operator="between" showDropDown="false" showErrorMessage="false" showInputMessage="false" sqref="F2:F5" type="list">
      <formula1>"Left abdomen,Right abdomen,Left thigh,Right thigh,Left upper arm,Right upper arm"</formula1>
      <formula2>0</formula2>
    </dataValidation>
    <dataValidation allowBlank="true" errorStyle="stop" operator="between" showDropDown="false" showErrorMessage="false" showInputMessage="false" sqref="N2:N5" type="list">
      <formula1>"Taken,Skipped,Missed"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4" min="3" style="0" width="14"/>
    <col collapsed="false" customWidth="true" hidden="false" outlineLevel="0" max="5" min="5" style="0" width="11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40"/>
  </cols>
  <sheetData>
    <row r="1" customFormat="false" ht="30" hidden="false" customHeight="true" outlineLevel="0" collapsed="false">
      <c r="A1" s="15" t="s">
        <v>66</v>
      </c>
      <c r="B1" s="15" t="s">
        <v>46</v>
      </c>
      <c r="C1" s="15" t="s">
        <v>67</v>
      </c>
      <c r="D1" s="15" t="s">
        <v>68</v>
      </c>
      <c r="E1" s="15" t="s">
        <v>69</v>
      </c>
      <c r="F1" s="15" t="s">
        <v>70</v>
      </c>
      <c r="G1" s="15" t="s">
        <v>71</v>
      </c>
      <c r="H1" s="15" t="s">
        <v>4</v>
      </c>
    </row>
    <row r="2" customFormat="false" ht="15" hidden="false" customHeight="false" outlineLevel="0" collapsed="false">
      <c r="A2" s="4" t="n">
        <v>1</v>
      </c>
      <c r="B2" s="23" t="n">
        <f aca="false">IF(Setup!$B$13&lt;&gt;"",DATE(VALUE(LEFT(Setup!$B$13,4)),VALUE(MID(Setup!$B$13,6,2)),VALUE(RIGHT(Setup!$B$13,2)))+0,"")</f>
        <v>46269</v>
      </c>
      <c r="C2" s="17" t="n">
        <v>1</v>
      </c>
      <c r="D2" s="17" t="n">
        <v>1</v>
      </c>
      <c r="E2" s="17" t="n">
        <v>1</v>
      </c>
      <c r="F2" s="17" t="n">
        <v>1</v>
      </c>
      <c r="G2" s="17" t="n">
        <v>1</v>
      </c>
      <c r="H2" s="17" t="s">
        <v>72</v>
      </c>
    </row>
    <row r="3" customFormat="false" ht="15" hidden="false" customHeight="false" outlineLevel="0" collapsed="false">
      <c r="A3" s="4" t="n">
        <v>2</v>
      </c>
      <c r="B3" s="23" t="n">
        <f aca="false">IF(Setup!$B$13&lt;&gt;"",DATE(VALUE(LEFT(Setup!$B$13,4)),VALUE(MID(Setup!$B$13,6,2)),VALUE(RIGHT(Setup!$B$13,2)))+1,"")</f>
        <v>46270</v>
      </c>
      <c r="C3" s="17"/>
      <c r="D3" s="17"/>
      <c r="E3" s="17"/>
      <c r="F3" s="17"/>
      <c r="G3" s="17"/>
      <c r="H3" s="17"/>
    </row>
    <row r="4" customFormat="false" ht="15" hidden="false" customHeight="false" outlineLevel="0" collapsed="false">
      <c r="A4" s="4" t="n">
        <v>3</v>
      </c>
      <c r="B4" s="23" t="n">
        <f aca="false">IF(Setup!$B$13&lt;&gt;"",DATE(VALUE(LEFT(Setup!$B$13,4)),VALUE(MID(Setup!$B$13,6,2)),VALUE(RIGHT(Setup!$B$13,2)))+2,"")</f>
        <v>46271</v>
      </c>
      <c r="C4" s="17"/>
      <c r="D4" s="17"/>
      <c r="E4" s="17"/>
      <c r="F4" s="17"/>
      <c r="G4" s="17"/>
      <c r="H4" s="17"/>
    </row>
    <row r="5" customFormat="false" ht="15" hidden="false" customHeight="false" outlineLevel="0" collapsed="false">
      <c r="A5" s="4" t="n">
        <v>4</v>
      </c>
      <c r="B5" s="23" t="n">
        <f aca="false">IF(Setup!$B$13&lt;&gt;"",DATE(VALUE(LEFT(Setup!$B$13,4)),VALUE(MID(Setup!$B$13,6,2)),VALUE(RIGHT(Setup!$B$13,2)))+3,"")</f>
        <v>46272</v>
      </c>
      <c r="C5" s="17"/>
      <c r="D5" s="17"/>
      <c r="E5" s="17"/>
      <c r="F5" s="17"/>
      <c r="G5" s="17"/>
      <c r="H5" s="17"/>
    </row>
    <row r="6" customFormat="false" ht="15" hidden="false" customHeight="false" outlineLevel="0" collapsed="false">
      <c r="A6" s="4" t="n">
        <v>5</v>
      </c>
      <c r="B6" s="23" t="n">
        <f aca="false">IF(Setup!$B$13&lt;&gt;"",DATE(VALUE(LEFT(Setup!$B$13,4)),VALUE(MID(Setup!$B$13,6,2)),VALUE(RIGHT(Setup!$B$13,2)))+4,"")</f>
        <v>46273</v>
      </c>
      <c r="C6" s="17"/>
      <c r="D6" s="17"/>
      <c r="E6" s="17"/>
      <c r="F6" s="17"/>
      <c r="G6" s="17"/>
      <c r="H6" s="17"/>
    </row>
    <row r="7" customFormat="false" ht="15" hidden="false" customHeight="false" outlineLevel="0" collapsed="false">
      <c r="A7" s="4" t="n">
        <v>6</v>
      </c>
      <c r="B7" s="23" t="n">
        <f aca="false">IF(Setup!$B$13&lt;&gt;"",DATE(VALUE(LEFT(Setup!$B$13,4)),VALUE(MID(Setup!$B$13,6,2)),VALUE(RIGHT(Setup!$B$13,2)))+5,"")</f>
        <v>46274</v>
      </c>
      <c r="C7" s="17"/>
      <c r="D7" s="17"/>
      <c r="E7" s="17"/>
      <c r="F7" s="17"/>
      <c r="G7" s="17"/>
      <c r="H7" s="17"/>
    </row>
    <row r="8" customFormat="false" ht="15" hidden="false" customHeight="false" outlineLevel="0" collapsed="false">
      <c r="A8" s="4" t="n">
        <v>7</v>
      </c>
      <c r="B8" s="23" t="n">
        <f aca="false">IF(Setup!$B$13&lt;&gt;"",DATE(VALUE(LEFT(Setup!$B$13,4)),VALUE(MID(Setup!$B$13,6,2)),VALUE(RIGHT(Setup!$B$13,2)))+6,"")</f>
        <v>46275</v>
      </c>
      <c r="C8" s="17"/>
      <c r="D8" s="17"/>
      <c r="E8" s="17"/>
      <c r="F8" s="17"/>
      <c r="G8" s="17"/>
      <c r="H8" s="17"/>
    </row>
    <row r="9" customFormat="false" ht="15" hidden="false" customHeight="false" outlineLevel="0" collapsed="false">
      <c r="A9" s="4" t="n">
        <v>8</v>
      </c>
      <c r="B9" s="23" t="n">
        <f aca="false">IF(Setup!$B$13&lt;&gt;"",DATE(VALUE(LEFT(Setup!$B$13,4)),VALUE(MID(Setup!$B$13,6,2)),VALUE(RIGHT(Setup!$B$13,2)))+7,"")</f>
        <v>46276</v>
      </c>
      <c r="C9" s="17"/>
      <c r="D9" s="17"/>
      <c r="E9" s="17"/>
      <c r="F9" s="17"/>
      <c r="G9" s="17"/>
      <c r="H9" s="17"/>
    </row>
    <row r="10" customFormat="false" ht="15" hidden="false" customHeight="false" outlineLevel="0" collapsed="false">
      <c r="A10" s="4" t="n">
        <v>9</v>
      </c>
      <c r="B10" s="23" t="n">
        <f aca="false">IF(Setup!$B$13&lt;&gt;"",DATE(VALUE(LEFT(Setup!$B$13,4)),VALUE(MID(Setup!$B$13,6,2)),VALUE(RIGHT(Setup!$B$13,2)))+8,"")</f>
        <v>46277</v>
      </c>
      <c r="C10" s="17"/>
      <c r="D10" s="17"/>
      <c r="E10" s="17"/>
      <c r="F10" s="17"/>
      <c r="G10" s="17"/>
      <c r="H10" s="17"/>
    </row>
    <row r="11" customFormat="false" ht="15" hidden="false" customHeight="false" outlineLevel="0" collapsed="false">
      <c r="A11" s="4" t="n">
        <v>10</v>
      </c>
      <c r="B11" s="23" t="n">
        <f aca="false">IF(Setup!$B$13&lt;&gt;"",DATE(VALUE(LEFT(Setup!$B$13,4)),VALUE(MID(Setup!$B$13,6,2)),VALUE(RIGHT(Setup!$B$13,2)))+9,"")</f>
        <v>46278</v>
      </c>
      <c r="C11" s="17"/>
      <c r="D11" s="17"/>
      <c r="E11" s="17"/>
      <c r="F11" s="17"/>
      <c r="G11" s="17"/>
      <c r="H11" s="17"/>
    </row>
    <row r="12" customFormat="false" ht="15" hidden="false" customHeight="false" outlineLevel="0" collapsed="false">
      <c r="A12" s="4" t="n">
        <v>11</v>
      </c>
      <c r="B12" s="23" t="n">
        <f aca="false">IF(Setup!$B$13&lt;&gt;"",DATE(VALUE(LEFT(Setup!$B$13,4)),VALUE(MID(Setup!$B$13,6,2)),VALUE(RIGHT(Setup!$B$13,2)))+10,"")</f>
        <v>46279</v>
      </c>
      <c r="C12" s="17"/>
      <c r="D12" s="17"/>
      <c r="E12" s="17"/>
      <c r="F12" s="17"/>
      <c r="G12" s="17"/>
      <c r="H12" s="17"/>
    </row>
    <row r="13" customFormat="false" ht="15" hidden="false" customHeight="false" outlineLevel="0" collapsed="false">
      <c r="A13" s="4" t="n">
        <v>12</v>
      </c>
      <c r="B13" s="23" t="n">
        <f aca="false">IF(Setup!$B$13&lt;&gt;"",DATE(VALUE(LEFT(Setup!$B$13,4)),VALUE(MID(Setup!$B$13,6,2)),VALUE(RIGHT(Setup!$B$13,2)))+11,"")</f>
        <v>46280</v>
      </c>
      <c r="C13" s="17"/>
      <c r="D13" s="17"/>
      <c r="E13" s="17"/>
      <c r="F13" s="17"/>
      <c r="G13" s="17"/>
      <c r="H13" s="17"/>
    </row>
    <row r="14" customFormat="false" ht="15" hidden="false" customHeight="false" outlineLevel="0" collapsed="false">
      <c r="A14" s="4" t="n">
        <v>13</v>
      </c>
      <c r="B14" s="23" t="n">
        <f aca="false">IF(Setup!$B$13&lt;&gt;"",DATE(VALUE(LEFT(Setup!$B$13,4)),VALUE(MID(Setup!$B$13,6,2)),VALUE(RIGHT(Setup!$B$13,2)))+12,"")</f>
        <v>46281</v>
      </c>
      <c r="C14" s="17"/>
      <c r="D14" s="17"/>
      <c r="E14" s="17"/>
      <c r="F14" s="17"/>
      <c r="G14" s="17"/>
      <c r="H14" s="17"/>
    </row>
    <row r="15" customFormat="false" ht="15" hidden="false" customHeight="false" outlineLevel="0" collapsed="false">
      <c r="A15" s="4" t="n">
        <v>14</v>
      </c>
      <c r="B15" s="23" t="n">
        <f aca="false">IF(Setup!$B$13&lt;&gt;"",DATE(VALUE(LEFT(Setup!$B$13,4)),VALUE(MID(Setup!$B$13,6,2)),VALUE(RIGHT(Setup!$B$13,2)))+13,"")</f>
        <v>46282</v>
      </c>
      <c r="C15" s="17"/>
      <c r="D15" s="17"/>
      <c r="E15" s="17"/>
      <c r="F15" s="17"/>
      <c r="G15" s="17"/>
      <c r="H15" s="17"/>
    </row>
    <row r="16" customFormat="false" ht="15" hidden="false" customHeight="false" outlineLevel="0" collapsed="false">
      <c r="A16" s="4" t="n">
        <v>15</v>
      </c>
      <c r="B16" s="23" t="n">
        <f aca="false">IF(Setup!$B$13&lt;&gt;"",DATE(VALUE(LEFT(Setup!$B$13,4)),VALUE(MID(Setup!$B$13,6,2)),VALUE(RIGHT(Setup!$B$13,2)))+14,"")</f>
        <v>46283</v>
      </c>
      <c r="C16" s="17"/>
      <c r="D16" s="17"/>
      <c r="E16" s="17"/>
      <c r="F16" s="17"/>
      <c r="G16" s="17"/>
      <c r="H16" s="17"/>
    </row>
    <row r="17" customFormat="false" ht="15" hidden="false" customHeight="false" outlineLevel="0" collapsed="false">
      <c r="A17" s="4" t="n">
        <v>16</v>
      </c>
      <c r="B17" s="23" t="n">
        <f aca="false">IF(Setup!$B$13&lt;&gt;"",DATE(VALUE(LEFT(Setup!$B$13,4)),VALUE(MID(Setup!$B$13,6,2)),VALUE(RIGHT(Setup!$B$13,2)))+15,"")</f>
        <v>46284</v>
      </c>
      <c r="C17" s="17"/>
      <c r="D17" s="17"/>
      <c r="E17" s="17"/>
      <c r="F17" s="17"/>
      <c r="G17" s="17"/>
      <c r="H17" s="17"/>
    </row>
    <row r="18" customFormat="false" ht="15" hidden="false" customHeight="false" outlineLevel="0" collapsed="false">
      <c r="A18" s="4" t="n">
        <v>17</v>
      </c>
      <c r="B18" s="23" t="n">
        <f aca="false">IF(Setup!$B$13&lt;&gt;"",DATE(VALUE(LEFT(Setup!$B$13,4)),VALUE(MID(Setup!$B$13,6,2)),VALUE(RIGHT(Setup!$B$13,2)))+16,"")</f>
        <v>46285</v>
      </c>
      <c r="C18" s="17"/>
      <c r="D18" s="17"/>
      <c r="E18" s="17"/>
      <c r="F18" s="17"/>
      <c r="G18" s="17"/>
      <c r="H18" s="17"/>
    </row>
    <row r="19" customFormat="false" ht="15" hidden="false" customHeight="false" outlineLevel="0" collapsed="false">
      <c r="A19" s="4" t="n">
        <v>18</v>
      </c>
      <c r="B19" s="23" t="n">
        <f aca="false">IF(Setup!$B$13&lt;&gt;"",DATE(VALUE(LEFT(Setup!$B$13,4)),VALUE(MID(Setup!$B$13,6,2)),VALUE(RIGHT(Setup!$B$13,2)))+17,"")</f>
        <v>46286</v>
      </c>
      <c r="C19" s="17"/>
      <c r="D19" s="17"/>
      <c r="E19" s="17"/>
      <c r="F19" s="17"/>
      <c r="G19" s="17"/>
      <c r="H19" s="17"/>
    </row>
    <row r="20" customFormat="false" ht="15" hidden="false" customHeight="false" outlineLevel="0" collapsed="false">
      <c r="A20" s="4" t="n">
        <v>19</v>
      </c>
      <c r="B20" s="23" t="n">
        <f aca="false">IF(Setup!$B$13&lt;&gt;"",DATE(VALUE(LEFT(Setup!$B$13,4)),VALUE(MID(Setup!$B$13,6,2)),VALUE(RIGHT(Setup!$B$13,2)))+18,"")</f>
        <v>46287</v>
      </c>
      <c r="C20" s="17"/>
      <c r="D20" s="17"/>
      <c r="E20" s="17"/>
      <c r="F20" s="17"/>
      <c r="G20" s="17"/>
      <c r="H20" s="17"/>
    </row>
    <row r="21" customFormat="false" ht="15" hidden="false" customHeight="false" outlineLevel="0" collapsed="false">
      <c r="A21" s="4" t="n">
        <v>20</v>
      </c>
      <c r="B21" s="23" t="n">
        <f aca="false">IF(Setup!$B$13&lt;&gt;"",DATE(VALUE(LEFT(Setup!$B$13,4)),VALUE(MID(Setup!$B$13,6,2)),VALUE(RIGHT(Setup!$B$13,2)))+19,"")</f>
        <v>46288</v>
      </c>
      <c r="C21" s="17"/>
      <c r="D21" s="17"/>
      <c r="E21" s="17"/>
      <c r="F21" s="17"/>
      <c r="G21" s="17"/>
      <c r="H21" s="17"/>
    </row>
    <row r="22" customFormat="false" ht="15" hidden="false" customHeight="false" outlineLevel="0" collapsed="false">
      <c r="A22" s="4" t="n">
        <v>21</v>
      </c>
      <c r="B22" s="23" t="n">
        <f aca="false">IF(Setup!$B$13&lt;&gt;"",DATE(VALUE(LEFT(Setup!$B$13,4)),VALUE(MID(Setup!$B$13,6,2)),VALUE(RIGHT(Setup!$B$13,2)))+20,"")</f>
        <v>46289</v>
      </c>
      <c r="C22" s="17"/>
      <c r="D22" s="17"/>
      <c r="E22" s="17"/>
      <c r="F22" s="17"/>
      <c r="G22" s="17"/>
      <c r="H22" s="17"/>
    </row>
    <row r="23" customFormat="false" ht="15" hidden="false" customHeight="false" outlineLevel="0" collapsed="false">
      <c r="A23" s="4" t="n">
        <v>22</v>
      </c>
      <c r="B23" s="23" t="n">
        <f aca="false">IF(Setup!$B$13&lt;&gt;"",DATE(VALUE(LEFT(Setup!$B$13,4)),VALUE(MID(Setup!$B$13,6,2)),VALUE(RIGHT(Setup!$B$13,2)))+21,"")</f>
        <v>46290</v>
      </c>
      <c r="C23" s="17"/>
      <c r="D23" s="17"/>
      <c r="E23" s="17"/>
      <c r="F23" s="17"/>
      <c r="G23" s="17"/>
      <c r="H23" s="17"/>
    </row>
    <row r="24" customFormat="false" ht="15" hidden="false" customHeight="false" outlineLevel="0" collapsed="false">
      <c r="A24" s="4" t="n">
        <v>23</v>
      </c>
      <c r="B24" s="23" t="n">
        <f aca="false">IF(Setup!$B$13&lt;&gt;"",DATE(VALUE(LEFT(Setup!$B$13,4)),VALUE(MID(Setup!$B$13,6,2)),VALUE(RIGHT(Setup!$B$13,2)))+22,"")</f>
        <v>46291</v>
      </c>
      <c r="C24" s="17"/>
      <c r="D24" s="17"/>
      <c r="E24" s="17"/>
      <c r="F24" s="17"/>
      <c r="G24" s="17"/>
      <c r="H24" s="17"/>
    </row>
    <row r="25" customFormat="false" ht="15" hidden="false" customHeight="false" outlineLevel="0" collapsed="false">
      <c r="A25" s="4" t="n">
        <v>24</v>
      </c>
      <c r="B25" s="23" t="n">
        <f aca="false">IF(Setup!$B$13&lt;&gt;"",DATE(VALUE(LEFT(Setup!$B$13,4)),VALUE(MID(Setup!$B$13,6,2)),VALUE(RIGHT(Setup!$B$13,2)))+23,"")</f>
        <v>46292</v>
      </c>
      <c r="C25" s="17"/>
      <c r="D25" s="17"/>
      <c r="E25" s="17"/>
      <c r="F25" s="17"/>
      <c r="G25" s="17"/>
      <c r="H25" s="17"/>
    </row>
    <row r="26" customFormat="false" ht="15" hidden="false" customHeight="false" outlineLevel="0" collapsed="false">
      <c r="A26" s="4" t="n">
        <v>25</v>
      </c>
      <c r="B26" s="23" t="n">
        <f aca="false">IF(Setup!$B$13&lt;&gt;"",DATE(VALUE(LEFT(Setup!$B$13,4)),VALUE(MID(Setup!$B$13,6,2)),VALUE(RIGHT(Setup!$B$13,2)))+24,"")</f>
        <v>46293</v>
      </c>
      <c r="C26" s="17"/>
      <c r="D26" s="17"/>
      <c r="E26" s="17"/>
      <c r="F26" s="17"/>
      <c r="G26" s="17"/>
      <c r="H26" s="17"/>
    </row>
    <row r="27" customFormat="false" ht="15" hidden="false" customHeight="false" outlineLevel="0" collapsed="false">
      <c r="A27" s="4" t="n">
        <v>26</v>
      </c>
      <c r="B27" s="23" t="n">
        <f aca="false">IF(Setup!$B$13&lt;&gt;"",DATE(VALUE(LEFT(Setup!$B$13,4)),VALUE(MID(Setup!$B$13,6,2)),VALUE(RIGHT(Setup!$B$13,2)))+25,"")</f>
        <v>46294</v>
      </c>
      <c r="C27" s="17"/>
      <c r="D27" s="17"/>
      <c r="E27" s="17"/>
      <c r="F27" s="17"/>
      <c r="G27" s="17"/>
      <c r="H27" s="17"/>
    </row>
    <row r="28" customFormat="false" ht="15" hidden="false" customHeight="false" outlineLevel="0" collapsed="false">
      <c r="A28" s="4" t="n">
        <v>27</v>
      </c>
      <c r="B28" s="23" t="n">
        <f aca="false">IF(Setup!$B$13&lt;&gt;"",DATE(VALUE(LEFT(Setup!$B$13,4)),VALUE(MID(Setup!$B$13,6,2)),VALUE(RIGHT(Setup!$B$13,2)))+26,"")</f>
        <v>46295</v>
      </c>
      <c r="C28" s="17"/>
      <c r="D28" s="17"/>
      <c r="E28" s="17"/>
      <c r="F28" s="17"/>
      <c r="G28" s="17"/>
      <c r="H28" s="17"/>
    </row>
    <row r="29" customFormat="false" ht="15" hidden="false" customHeight="false" outlineLevel="0" collapsed="false">
      <c r="A29" s="4" t="n">
        <v>28</v>
      </c>
      <c r="B29" s="23" t="n">
        <f aca="false">IF(Setup!$B$13&lt;&gt;"",DATE(VALUE(LEFT(Setup!$B$13,4)),VALUE(MID(Setup!$B$13,6,2)),VALUE(RIGHT(Setup!$B$13,2)))+27,"")</f>
        <v>46296</v>
      </c>
      <c r="C29" s="17"/>
      <c r="D29" s="17"/>
      <c r="E29" s="17"/>
      <c r="F29" s="17"/>
      <c r="G29" s="17"/>
      <c r="H29" s="17"/>
    </row>
    <row r="31" customFormat="false" ht="15" hidden="false" customHeight="false" outlineLevel="0" collapsed="false">
      <c r="A31" s="11" t="s">
        <v>73</v>
      </c>
      <c r="C31" s="0" t="n">
        <f aca="false">COUNT(C2:C29)</f>
        <v>1</v>
      </c>
    </row>
    <row r="32" customFormat="false" ht="15" hidden="false" customHeight="false" outlineLevel="0" collapsed="false">
      <c r="A32" s="11" t="s">
        <v>74</v>
      </c>
      <c r="C32" s="24" t="n">
        <f aca="false">IF(COUNT(C2:C29)&gt;0,SUM(C2:C29)/COUNT(C2:C29),"")</f>
        <v>1</v>
      </c>
    </row>
    <row r="33" customFormat="false" ht="15" hidden="false" customHeight="false" outlineLevel="0" collapsed="false">
      <c r="A33" s="11" t="s">
        <v>75</v>
      </c>
      <c r="C33" s="24" t="n">
        <f aca="false">IF(COUNT(D2:D29)&gt;0,SUM(D2:D29)/COUNT(D2:D29),"")</f>
        <v>1</v>
      </c>
    </row>
    <row r="34" customFormat="false" ht="15" hidden="false" customHeight="false" outlineLevel="0" collapsed="false">
      <c r="A34" s="11" t="s">
        <v>76</v>
      </c>
      <c r="C34" s="25" t="n">
        <f aca="false">IF(COUNT(E2:E29)&gt;0,AVERAGE(E2:E29),"")</f>
        <v>1</v>
      </c>
    </row>
    <row r="35" customFormat="false" ht="15" hidden="false" customHeight="false" outlineLevel="0" collapsed="false">
      <c r="A35" s="11" t="s">
        <v>77</v>
      </c>
      <c r="C35" s="0" t="n">
        <f aca="false">COUNTIF(F2:F29,0)</f>
        <v>0</v>
      </c>
    </row>
    <row r="37" customFormat="false" ht="15" hidden="false" customHeight="false" outlineLevel="0" collapsed="false">
      <c r="A37" s="13" t="s">
        <v>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26" t="s">
        <v>79</v>
      </c>
    </row>
    <row r="2" customFormat="false" ht="23.85" hidden="false" customHeight="false" outlineLevel="0" collapsed="false">
      <c r="A2" s="27" t="s">
        <v>80</v>
      </c>
    </row>
    <row r="3" customFormat="false" ht="23.85" hidden="false" customHeight="false" outlineLevel="0" collapsed="false">
      <c r="A3" s="27" t="s">
        <v>81</v>
      </c>
    </row>
    <row r="4" customFormat="false" ht="15" hidden="false" customHeight="false" outlineLevel="0" collapsed="false">
      <c r="A4" s="27" t="s">
        <v>82</v>
      </c>
    </row>
    <row r="5" customFormat="false" ht="23.85" hidden="false" customHeight="false" outlineLevel="0" collapsed="false">
      <c r="A5" s="27" t="s">
        <v>83</v>
      </c>
    </row>
    <row r="6" customFormat="false" ht="23.85" hidden="false" customHeight="false" outlineLevel="0" collapsed="false">
      <c r="A6" s="27" t="s">
        <v>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2026-09-04T03:34:41Z</dcterms:created>
  <dc:creator>openpyxl</dc:creator>
  <dc:description/>
  <dc:language>en-US</dc:language>
  <cp:lastModifiedBy/>
  <dcterms:modified xsi:type="dcterms:W3CDTF">2026-09-04T03:34:41Z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